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Piepe\Selbstständigkeit\Finanzblog\"/>
    </mc:Choice>
  </mc:AlternateContent>
  <xr:revisionPtr revIDLastSave="0" documentId="13_ncr:1_{149B3F28-DEA0-4114-A491-7957303395C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rfassungsbogen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2" l="1"/>
  <c r="K24" i="2"/>
  <c r="K23" i="2"/>
  <c r="L47" i="2" l="1"/>
  <c r="L44" i="2"/>
  <c r="L52" i="2"/>
  <c r="L51" i="2"/>
  <c r="L50" i="2"/>
  <c r="L45" i="2" l="1"/>
  <c r="L46" i="2"/>
  <c r="L43" i="2"/>
  <c r="E40" i="2" l="1"/>
  <c r="F40" i="2" s="1"/>
  <c r="E39" i="2"/>
  <c r="E33" i="2"/>
  <c r="E32" i="2"/>
  <c r="E29" i="2"/>
  <c r="E28" i="2"/>
  <c r="E24" i="2"/>
  <c r="E25" i="2"/>
  <c r="E23" i="2"/>
  <c r="E18" i="2"/>
  <c r="E17" i="2"/>
  <c r="C22" i="2"/>
  <c r="C27" i="2"/>
  <c r="C31" i="2"/>
  <c r="C38" i="2"/>
  <c r="D25" i="2"/>
  <c r="D24" i="2"/>
  <c r="D23" i="2"/>
  <c r="D14" i="2" l="1"/>
  <c r="A12" i="2"/>
  <c r="B7" i="2"/>
  <c r="K36" i="2" l="1"/>
  <c r="L20" i="2"/>
  <c r="M20" i="2" s="1"/>
  <c r="L17" i="2"/>
  <c r="M17" i="2" s="1"/>
  <c r="F6" i="2"/>
  <c r="K32" i="2"/>
  <c r="L18" i="2"/>
  <c r="M18" i="2" s="1"/>
  <c r="O51" i="2"/>
  <c r="O52" i="2"/>
  <c r="O50" i="2"/>
  <c r="O47" i="2"/>
  <c r="C20" i="2"/>
  <c r="O46" i="2"/>
  <c r="C18" i="2"/>
  <c r="O45" i="2"/>
  <c r="O43" i="2"/>
  <c r="O44" i="2"/>
  <c r="G40" i="2"/>
  <c r="C36" i="2"/>
  <c r="C17" i="2"/>
  <c r="C16" i="2" l="1"/>
  <c r="P44" i="2"/>
  <c r="Q44" i="2"/>
  <c r="C44" i="2" s="1"/>
  <c r="P51" i="2"/>
  <c r="Q51" i="2"/>
  <c r="C51" i="2" s="1"/>
  <c r="Q45" i="2"/>
  <c r="C45" i="2" s="1"/>
  <c r="P45" i="2"/>
  <c r="Q46" i="2"/>
  <c r="C46" i="2" s="1"/>
  <c r="P46" i="2"/>
  <c r="Q50" i="2"/>
  <c r="C50" i="2" s="1"/>
  <c r="P50" i="2"/>
  <c r="Q47" i="2"/>
  <c r="P47" i="2"/>
  <c r="P43" i="2"/>
  <c r="Q43" i="2"/>
  <c r="C43" i="2" s="1"/>
  <c r="F43" i="2" s="1"/>
  <c r="G43" i="2" s="1"/>
  <c r="Q52" i="2"/>
  <c r="P52" i="2"/>
  <c r="F46" i="2" l="1"/>
  <c r="G46" i="2" s="1"/>
  <c r="F44" i="2"/>
  <c r="G44" i="2" s="1"/>
  <c r="F45" i="2"/>
  <c r="G45" i="2" s="1"/>
  <c r="C52" i="2"/>
  <c r="F52" i="2" s="1"/>
  <c r="G52" i="2" s="1"/>
  <c r="C47" i="2"/>
  <c r="F47" i="2" s="1"/>
  <c r="F50" i="2"/>
  <c r="F51" i="2"/>
  <c r="G51" i="2" s="1"/>
  <c r="F29" i="2"/>
  <c r="G29" i="2" s="1"/>
  <c r="F33" i="2"/>
  <c r="G33" i="2" s="1"/>
  <c r="F24" i="2"/>
  <c r="G24" i="2" s="1"/>
  <c r="F25" i="2"/>
  <c r="G25" i="2" s="1"/>
  <c r="F20" i="2"/>
  <c r="G20" i="2" s="1"/>
  <c r="F14" i="2"/>
  <c r="F32" i="2"/>
  <c r="F18" i="2"/>
  <c r="G18" i="2" s="1"/>
  <c r="F36" i="2"/>
  <c r="G47" i="2" l="1"/>
  <c r="G42" i="2" s="1"/>
  <c r="F42" i="2"/>
  <c r="C42" i="2"/>
  <c r="C54" i="2" s="1"/>
  <c r="C49" i="2"/>
  <c r="G50" i="2"/>
  <c r="G49" i="2" s="1"/>
  <c r="F49" i="2"/>
  <c r="G14" i="2"/>
  <c r="G32" i="2"/>
  <c r="G31" i="2" s="1"/>
  <c r="F31" i="2"/>
  <c r="G36" i="2"/>
  <c r="F28" i="2" l="1"/>
  <c r="F23" i="2"/>
  <c r="F22" i="2" s="1"/>
  <c r="G23" i="2" l="1"/>
  <c r="G22" i="2" s="1"/>
  <c r="G28" i="2"/>
  <c r="G27" i="2" s="1"/>
  <c r="F27" i="2"/>
  <c r="F39" i="2" l="1"/>
  <c r="F17" i="2"/>
  <c r="F16" i="2" s="1"/>
  <c r="G39" i="2" l="1"/>
  <c r="G38" i="2" s="1"/>
  <c r="F38" i="2"/>
  <c r="F54" i="2" s="1"/>
  <c r="G17" i="2"/>
  <c r="G16" i="2" l="1"/>
  <c r="G54" i="2" s="1"/>
  <c r="F7" i="2" l="1"/>
  <c r="E10" i="2" s="1"/>
  <c r="H10" i="2" l="1"/>
  <c r="J10" i="2"/>
  <c r="K10" i="2"/>
  <c r="L10" i="2"/>
  <c r="I10" i="2"/>
  <c r="G5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Andreas Fillgraff</author>
  </authors>
  <commentList>
    <comment ref="B14" authorId="0" shapeId="0" xr:uid="{0FAB1278-2A68-4900-96C4-8B363309CA15}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 Hochrechnung mit 1 % Erhöhung pro Jahr aus Deiner letzten Standmitteilung</t>
        </r>
      </text>
    </comment>
    <comment ref="J14" authorId="1" shapeId="0" xr:uid="{7698D28D-5814-4294-B13C-47BB49FF6E2E}">
      <text>
        <r>
          <rPr>
            <b/>
            <sz val="9"/>
            <color indexed="81"/>
            <rFont val="Segoe UI"/>
            <family val="2"/>
          </rPr>
          <t>Andreas Fillgraff:</t>
        </r>
        <r>
          <rPr>
            <sz val="9"/>
            <color indexed="81"/>
            <rFont val="Segoe UI"/>
            <family val="2"/>
          </rPr>
          <t xml:space="preserve">
3,05 % für Eltern
3,30 % für Kinderlose</t>
        </r>
      </text>
    </comment>
    <comment ref="I20" authorId="0" shapeId="0" xr:uid="{14310508-3043-44D8-AC2A-AA9AB1212498}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Kontostand mit Minuszeichen davor eingeben, damit es abgezogen wird</t>
        </r>
      </text>
    </comment>
    <comment ref="D23" authorId="1" shapeId="0" xr:uid="{AC8BD2ED-7340-4E6B-ADA9-E3412201AF1A}">
      <text>
        <r>
          <rPr>
            <b/>
            <sz val="9"/>
            <color indexed="81"/>
            <rFont val="Segoe UI"/>
            <family val="2"/>
          </rPr>
          <t>Andreas Fillgraff:</t>
        </r>
        <r>
          <rPr>
            <sz val="9"/>
            <color indexed="81"/>
            <rFont val="Segoe UI"/>
            <family val="2"/>
          </rPr>
          <t xml:space="preserve">
voller KV-Beitrag inkl. vollem Zusatzbeitrag plus PV-Beitrag auf alle bAV-Renten abzüglich monatlicher Freigrenze von insgesamt 159,25 €</t>
        </r>
      </text>
    </comment>
    <comment ref="D24" authorId="1" shapeId="0" xr:uid="{004FDC0D-4AE7-4E73-A6FF-BB8F7255317D}">
      <text>
        <r>
          <rPr>
            <b/>
            <sz val="9"/>
            <color indexed="81"/>
            <rFont val="Segoe UI"/>
            <family val="2"/>
          </rPr>
          <t>Andreas Fillgraff:</t>
        </r>
        <r>
          <rPr>
            <sz val="9"/>
            <color indexed="81"/>
            <rFont val="Segoe UI"/>
            <family val="2"/>
          </rPr>
          <t xml:space="preserve">
voller KV-Beitrag inkl. vollem Zusatzbeitrag plus PV-Beitrag auf alle bAV-Renten abzüglich monatlicher Freigrenze von insgesamt 159,25 €</t>
        </r>
      </text>
    </comment>
    <comment ref="D25" authorId="1" shapeId="0" xr:uid="{6D458A9D-B3BE-4FB9-A999-66A52F2C66E7}">
      <text>
        <r>
          <rPr>
            <b/>
            <sz val="9"/>
            <color indexed="81"/>
            <rFont val="Segoe UI"/>
            <family val="2"/>
          </rPr>
          <t>Andreas Fillgraff:</t>
        </r>
        <r>
          <rPr>
            <sz val="9"/>
            <color indexed="81"/>
            <rFont val="Segoe UI"/>
            <family val="2"/>
          </rPr>
          <t xml:space="preserve">
voller KV-Beitrag inkl. vollem Zusatzbeitrag plus PV-Beitrag auf alle bAV-Renten abzüglich monatlicher Freigrenze von insgesamt 159,25 €</t>
        </r>
      </text>
    </comment>
    <comment ref="C43" authorId="1" shapeId="0" xr:uid="{98AF25C2-A230-46B6-81C0-6736482BE228}">
      <text>
        <r>
          <rPr>
            <b/>
            <sz val="9"/>
            <color indexed="81"/>
            <rFont val="Segoe UI"/>
            <family val="2"/>
          </rPr>
          <t xml:space="preserve">Andreas:
Steuern in der Ansparzeit noch nicht berücksichtigt!!
Berechnung mit Steuern in Ansparphase möglich unter 
https://www.zinsen-berechnen.de/vorsorgerechner.php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u/>
            <sz val="9"/>
            <color indexed="81"/>
            <rFont val="Segoe UI"/>
            <family val="2"/>
          </rPr>
          <t>Entnahmeplan</t>
        </r>
        <r>
          <rPr>
            <sz val="9"/>
            <color indexed="81"/>
            <rFont val="Segoe UI"/>
            <family val="2"/>
          </rPr>
          <t xml:space="preserve"> berechnet mit folgenden Werten/Annahmen:
Kapitalvermögen: berechnet aus Angaben in gelben Kästchen rechts
Entnahme: monatlich
Entnahmeart: nachschüssig
Dynamik: 0%
Zins: aus gelbem Kästchen rechts
Zinsperiode: jährlich
Rentendauer: aus gelbem Kästchen rechts
Restkapital: 0 am Ende der Rentendauer
Steuersatz: aus gelbem Feld "Steuern" rechts
Freibetrag: aus gelbem Kästchen rechts</t>
        </r>
      </text>
    </comment>
    <comment ref="C44" authorId="1" shapeId="0" xr:uid="{73B24163-8019-4A4D-B9EB-DABEB9D99C6D}">
      <text>
        <r>
          <rPr>
            <b/>
            <sz val="9"/>
            <color indexed="81"/>
            <rFont val="Segoe UI"/>
            <family val="2"/>
          </rPr>
          <t xml:space="preserve">Andreas:
Steuern in der Ansparzeit noch nicht berücksichtigt!!
Berechnung mit Steuern in Ansparphase möglich unter 
https://www.zinsen-berechnen.de/vorsorgerechner.php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u/>
            <sz val="9"/>
            <color indexed="81"/>
            <rFont val="Segoe UI"/>
            <family val="2"/>
          </rPr>
          <t>Entnahmeplan</t>
        </r>
        <r>
          <rPr>
            <sz val="9"/>
            <color indexed="81"/>
            <rFont val="Segoe UI"/>
            <family val="2"/>
          </rPr>
          <t xml:space="preserve"> berechnet mit folgenden Werten/Annahmen:
Kapitalvermögen: berechnet aus Angaben in gelben Kästchen rechts
Entnahme: monatlich
Entnahmeart: nachschüssig
Dynamik: 0%
Zins: aus gelbem Kästchen rechts
Zinsperiode: jährlich
Rentendauer: aus gelbem Kästchen rechts
Restkapital: 0 am Ende der Rentendauer
Steuersatz: aus gelbem Feld "Steuern" rechts
Freibetrag: aus gelbem Kästchen rechts</t>
        </r>
      </text>
    </comment>
    <comment ref="C45" authorId="1" shapeId="0" xr:uid="{0F595AAF-2C5A-4FA1-BDD4-2FCE8BFC3D97}">
      <text>
        <r>
          <rPr>
            <b/>
            <sz val="9"/>
            <color indexed="81"/>
            <rFont val="Segoe UI"/>
            <family val="2"/>
          </rPr>
          <t xml:space="preserve">Andreas:
Steuern in der Ansparzeit noch nicht berücksichtigt!!
Berechnung mit Steuern in Ansparphase möglich unter 
https://www.zinsen-berechnen.de/vorsorgerechner.php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u/>
            <sz val="9"/>
            <color indexed="81"/>
            <rFont val="Segoe UI"/>
            <family val="2"/>
          </rPr>
          <t>Entnahmeplan</t>
        </r>
        <r>
          <rPr>
            <sz val="9"/>
            <color indexed="81"/>
            <rFont val="Segoe UI"/>
            <family val="2"/>
          </rPr>
          <t xml:space="preserve"> berechnet mit folgenden Werten/Annahmen:
Kapitalvermögen: berechnet aus Angaben in gelben Kästchen rechts
Entnahme: monatlich
Entnahmeart: nachschüssig
Dynamik: 0%
Zins: aus gelbem Kästchen rechts
Zinsperiode: jährlich
Rentendauer: aus gelbem Kästchen rechts
Restkapital: 0 am Ende der Rentendauer
Steuersatz: aus gelbem Feld "Steuern" rechts
Freibetrag: aus gelbem Kästchen rechts</t>
        </r>
      </text>
    </comment>
    <comment ref="C46" authorId="1" shapeId="0" xr:uid="{3CFEE22C-B5F0-47F0-B8D3-9631DF3DC5CE}">
      <text>
        <r>
          <rPr>
            <b/>
            <sz val="9"/>
            <color indexed="81"/>
            <rFont val="Segoe UI"/>
            <family val="2"/>
          </rPr>
          <t xml:space="preserve">Andreas:
Steuern in der Ansparzeit noch nicht berücksichtigt!!
Berechnung mit Steuern in Ansparphase möglich unter 
https://www.zinsen-berechnen.de/vorsorgerechner.php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u/>
            <sz val="9"/>
            <color indexed="81"/>
            <rFont val="Segoe UI"/>
            <family val="2"/>
          </rPr>
          <t>Entnahmeplan</t>
        </r>
        <r>
          <rPr>
            <sz val="9"/>
            <color indexed="81"/>
            <rFont val="Segoe UI"/>
            <family val="2"/>
          </rPr>
          <t xml:space="preserve"> berechnet mit folgenden Werten/Annahmen:
Kapitalvermögen: berechnet aus Angaben in gelben Kästchen rechts
Entnahme: monatlich
Entnahmeart: nachschüssig
Dynamik: 0%
Zins: aus gelbem Kästchen rechts
Zinsperiode: jährlich
Rentendauer: aus gelbem Kästchen rechts
Restkapital: 0 am Ende der Rentendauer
Steuersatz: aus gelbem Feld "Steuern" rechts
Freibetrag: aus gelbem Kästchen rechts</t>
        </r>
      </text>
    </comment>
    <comment ref="C47" authorId="1" shapeId="0" xr:uid="{7B8170AD-075A-45CA-AA73-6D2394574713}">
      <text>
        <r>
          <rPr>
            <b/>
            <sz val="9"/>
            <color indexed="81"/>
            <rFont val="Segoe UI"/>
            <family val="2"/>
          </rPr>
          <t xml:space="preserve">Andreas:
Steuern in der Ansparzeit noch nicht berücksichtigt!!
Berechnung mit Steuern in Ansparphase möglich unter 
https://www.zinsen-berechnen.de/vorsorgerechner.php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u/>
            <sz val="9"/>
            <color indexed="81"/>
            <rFont val="Segoe UI"/>
            <family val="2"/>
          </rPr>
          <t>Entnahmeplan</t>
        </r>
        <r>
          <rPr>
            <sz val="9"/>
            <color indexed="81"/>
            <rFont val="Segoe UI"/>
            <family val="2"/>
          </rPr>
          <t xml:space="preserve"> berechnet mit folgenden Werten/Annahmen:
Kapitalvermögen: berechnet aus Angaben in gelben Kästchen rechts
Entnahme: monatlich
Entnahmeart: nachschüssig
Dynamik: 0%
Zins: aus gelbem Kästchen rechts
Zinsperiode: jährlich
Rentendauer: aus gelbem Kästchen rechts
Restkapital: 0 am Ende der Rentendauer
Steuersatz: aus gelbem Feld "Steuern" rechts
Freibetrag: aus gelbem Kästchen rechts</t>
        </r>
      </text>
    </comment>
    <comment ref="C50" authorId="1" shapeId="0" xr:uid="{23275F47-0EAB-41BE-9E3F-79F41D90B80E}">
      <text>
        <r>
          <rPr>
            <b/>
            <sz val="9"/>
            <color indexed="81"/>
            <rFont val="Segoe UI"/>
            <family val="2"/>
          </rPr>
          <t xml:space="preserve">Andreas:
Steuern in der Ansparzeit noch nicht berücksichtigt!!
Berechnung mit Steuern in Ansparphase möglich unter 
https://www.zinsen-berechnen.de/vorsorgerechner.php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u/>
            <sz val="9"/>
            <color indexed="81"/>
            <rFont val="Segoe UI"/>
            <family val="2"/>
          </rPr>
          <t>Entnahmeplan</t>
        </r>
        <r>
          <rPr>
            <sz val="9"/>
            <color indexed="81"/>
            <rFont val="Segoe UI"/>
            <family val="2"/>
          </rPr>
          <t xml:space="preserve"> berechnet mit folgenden Werten/Annahmen:
Kapitalvermögen: berechnet aus Angaben in gelben Kästchen rechts
Entnahme: monatlich
Entnahmeart: nachschüssig
Dynamik: 0%
Zins: aus gelbem Kästchen rechts
Zinsperiode: jährlich
Rentendauer: aus gelbem Kästchen rechts
Restkapital: 0 am Ende der Rentendauer
Steuersatz: aus gelbem Feld "Steuern" rechts
Freibetrag: aus gelbem Kästchen rechts</t>
        </r>
      </text>
    </comment>
    <comment ref="C51" authorId="1" shapeId="0" xr:uid="{86B8974E-05A7-4736-B345-91F36F4A4A82}">
      <text>
        <r>
          <rPr>
            <b/>
            <sz val="9"/>
            <color indexed="81"/>
            <rFont val="Segoe UI"/>
            <family val="2"/>
          </rPr>
          <t xml:space="preserve">Andreas:
Steuern in der Ansparzeit noch nicht berücksichtigt!!
Berechnung mit Steuern in Ansparphase möglich unter 
https://www.zinsen-berechnen.de/vorsorgerechner.php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u/>
            <sz val="9"/>
            <color indexed="81"/>
            <rFont val="Segoe UI"/>
            <family val="2"/>
          </rPr>
          <t>Entnahmeplan</t>
        </r>
        <r>
          <rPr>
            <sz val="9"/>
            <color indexed="81"/>
            <rFont val="Segoe UI"/>
            <family val="2"/>
          </rPr>
          <t xml:space="preserve"> berechnet mit folgenden Werten/Annahmen:
Kapitalvermögen: berechnet aus Angaben in gelben Kästchen rechts
Entnahme: monatlich
Entnahmeart: nachschüssig
Dynamik: 0%
Zins: aus gelbem Kästchen rechts
Zinsperiode: jährlich
Rentendauer: aus gelbem Kästchen rechts
Restkapital: 0 am Ende der Rentendauer
Steuersatz: aus gelbem Feld "Steuern" rechts
Freibetrag: aus gelbem Kästchen rechts</t>
        </r>
      </text>
    </comment>
    <comment ref="C52" authorId="1" shapeId="0" xr:uid="{D48EA825-7677-4346-9087-75F7123A62B5}">
      <text>
        <r>
          <rPr>
            <b/>
            <sz val="9"/>
            <color indexed="81"/>
            <rFont val="Segoe UI"/>
            <family val="2"/>
          </rPr>
          <t xml:space="preserve">Andreas:
Steuern in der Ansparzeit noch nicht berücksichtigt!!
Berechnung mit Steuern in Ansparphase möglich unter 
https://www.zinsen-berechnen.de/vorsorgerechner.php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u/>
            <sz val="9"/>
            <color indexed="81"/>
            <rFont val="Segoe UI"/>
            <family val="2"/>
          </rPr>
          <t>Entnahmeplan</t>
        </r>
        <r>
          <rPr>
            <sz val="9"/>
            <color indexed="81"/>
            <rFont val="Segoe UI"/>
            <family val="2"/>
          </rPr>
          <t xml:space="preserve"> berechnet mit folgenden Werten/Annahmen:
Kapitalvermögen: berechnet aus Angaben in gelben Kästchen rechts
Entnahme: monatlich
Entnahmeart: nachschüssig
Dynamik: 0%
Zins: aus gelbem Kästchen rechts
Zinsperiode: jährlich
Rentendauer: aus gelbem Kästchen rechts
Restkapital: 0 am Ende der Rentendauer
Steuersatz: aus gelbem Feld "Steuern" rechts
Freibetrag: aus gelbem Kästchen rechts</t>
        </r>
      </text>
    </comment>
  </commentList>
</comments>
</file>

<file path=xl/sharedStrings.xml><?xml version="1.0" encoding="utf-8"?>
<sst xmlns="http://schemas.openxmlformats.org/spreadsheetml/2006/main" count="123" uniqueCount="83">
  <si>
    <t>erforderliche Rentenhöhe</t>
  </si>
  <si>
    <t>Nachname</t>
  </si>
  <si>
    <t>Vorname</t>
  </si>
  <si>
    <t>vorauss. Rente</t>
  </si>
  <si>
    <t>Summe vorauss. Rente</t>
  </si>
  <si>
    <t>Probe</t>
  </si>
  <si>
    <t>Beginn</t>
  </si>
  <si>
    <t>Berechnung zum</t>
  </si>
  <si>
    <t>eigengenutzte Immobilie</t>
  </si>
  <si>
    <t>Sparpläne</t>
  </si>
  <si>
    <t>Brutto</t>
  </si>
  <si>
    <t>SV-Beiträge</t>
  </si>
  <si>
    <t>Steuern</t>
  </si>
  <si>
    <t>Kaufkraft bei Rentenbeginn</t>
  </si>
  <si>
    <t>Netto nach Steuern</t>
  </si>
  <si>
    <t>Inflation</t>
  </si>
  <si>
    <t>Rate</t>
  </si>
  <si>
    <t>Rendite (vor Steuern)</t>
  </si>
  <si>
    <t>Freibetrag</t>
  </si>
  <si>
    <t>Sparplan 1</t>
  </si>
  <si>
    <t>Sparplan 2</t>
  </si>
  <si>
    <t>Sparplan 3</t>
  </si>
  <si>
    <t>Sparplan 4</t>
  </si>
  <si>
    <t>Sparplan 5</t>
  </si>
  <si>
    <t xml:space="preserve">Mietersparnis bei Renteneintritt (Kaltmiete abzgl. Rücklagen Haus) </t>
  </si>
  <si>
    <t>Einzahlung p.a. inkl. Zulagen</t>
  </si>
  <si>
    <t>Vorauss. Kapital bei Rentenbeginn</t>
  </si>
  <si>
    <t>Verrentungsfaktor</t>
  </si>
  <si>
    <t>Rente</t>
  </si>
  <si>
    <t>Riester 1</t>
  </si>
  <si>
    <t>Riester 2</t>
  </si>
  <si>
    <t>garantierte Rente</t>
  </si>
  <si>
    <t>Mietsteigerung p.a.</t>
  </si>
  <si>
    <t>Kaltmiete abzgl. Rücklagen</t>
  </si>
  <si>
    <t>Mieteinnahmen netto bei Rentenbeginn</t>
  </si>
  <si>
    <t>KV-Zusatzbeitrag</t>
  </si>
  <si>
    <t>PV-Beitrag</t>
  </si>
  <si>
    <t>Netto heute</t>
  </si>
  <si>
    <t>Wohnförderkonto</t>
  </si>
  <si>
    <t>Arbeitgeber 1</t>
  </si>
  <si>
    <t>Arbeitgeber 2 - Entgeltumwandlung</t>
  </si>
  <si>
    <t>Arbeitgeber 2 - Arbeitgeberfinanziert</t>
  </si>
  <si>
    <t>Rürup Vertrag 1</t>
  </si>
  <si>
    <t>Rürup Vertrag 2</t>
  </si>
  <si>
    <t>Immobilien (vermietet)</t>
  </si>
  <si>
    <t>Immobilie 1</t>
  </si>
  <si>
    <t>Immobilie 2</t>
  </si>
  <si>
    <t>Rentenversicherung</t>
  </si>
  <si>
    <t>Kapitallebensversicherung</t>
  </si>
  <si>
    <t>Renten- /Lebensversicherungen</t>
  </si>
  <si>
    <t>Rürup-Rentenverträge</t>
  </si>
  <si>
    <t>betriebliche Altersversorgungen</t>
  </si>
  <si>
    <t>Riesterverträge</t>
  </si>
  <si>
    <t>Gesetzliche Rente</t>
  </si>
  <si>
    <t>Name</t>
  </si>
  <si>
    <t>Rentenlückenrechner</t>
  </si>
  <si>
    <t>Rentenlücke</t>
  </si>
  <si>
    <t>Rentenbeginn Alter</t>
  </si>
  <si>
    <t>Rentenbeginn Datum</t>
  </si>
  <si>
    <t>Alternativ --&gt;</t>
  </si>
  <si>
    <t>bisher garantierte Einzahlungen</t>
  </si>
  <si>
    <t>Abgeltungssteuer</t>
  </si>
  <si>
    <t>Rentenbezugsdauer in Jahren</t>
  </si>
  <si>
    <t>Kapital bei Rentenbeginn</t>
  </si>
  <si>
    <t>mon. Kapitalentnahme</t>
  </si>
  <si>
    <t>Zinsen im Bezugszeitraum</t>
  </si>
  <si>
    <t>Ziel-Rentenniveau netto</t>
  </si>
  <si>
    <t>Aktien</t>
  </si>
  <si>
    <t>Wert Stichtag (Anteile * Kurs)</t>
  </si>
  <si>
    <t>mon. Kapitalentnahme ohne Steuern</t>
  </si>
  <si>
    <t>Mieteinnahmen bei Rentenbeginn</t>
  </si>
  <si>
    <t>Stand Konto (negativ eingeben)</t>
  </si>
  <si>
    <t>Verzinsung</t>
  </si>
  <si>
    <t>Diesen Betrag (abhängig vom Zins) müsstest Du monatlich sparen, um die Rentenlücke auszugleichen</t>
  </si>
  <si>
    <t>Diese Werte bitte eingeben</t>
  </si>
  <si>
    <t>Diese Werte sind gägngige Schätzungen, können aber geändert werden</t>
  </si>
  <si>
    <t>Berechnungsfelder. Bitte nicht ändern</t>
  </si>
  <si>
    <t>Legende:</t>
  </si>
  <si>
    <t>Diese Werte können berechnet werden (in der jeweiligen Zeile rechts), wenn die Rentenhöhe nicht bekannt ist</t>
  </si>
  <si>
    <t>Geburtsdatum</t>
  </si>
  <si>
    <t>vorauss. Rentenhöhe</t>
  </si>
  <si>
    <t>Gehaltssteigerung p.a.</t>
  </si>
  <si>
    <t>Bruttorente (1%)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</si>
</sst>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164" formatCode="_-* #,##0.00\ _€_-;\-* #,##0.00\ _€_-;_-* &quot;-&quot;??\ _€_-;_-@_-"/>
    <numFmt numFmtId="165" formatCode="#,##0.00_ ;\-#,##0.00\ "/>
    <numFmt numFmtId="166" formatCode="_-* #,##0\ _€_-;\-* #,##0\ _€_-;_-* &quot;-&quot;??\ _€_-;_-@_-"/>
    <numFmt numFmtId="167" formatCode="_-* #,##0.00\ [$€-407]_-;\-* #,##0.00\ [$€-407]_-;_-* &quot;-&quot;??\ [$€-407]_-;_-@_-"/>
    <numFmt numFmtId="168" formatCode="0.0%"/>
    <numFmt numFmtId="169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u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u/>
      <sz val="9"/>
      <color indexed="81"/>
      <name val="Segoe UI"/>
      <family val="2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rgb="FFFFFF00"/>
      </patternFill>
    </fill>
    <fill>
      <patternFill patternType="lightDown">
        <fgColor theme="0" tint="-0.24994659260841701"/>
        <bgColor rgb="FFFFFF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165" fontId="0" fillId="0" borderId="0" xfId="1" applyNumberFormat="1" applyFont="1"/>
    <xf numFmtId="0" fontId="2" fillId="0" borderId="0" xfId="0" applyFont="1"/>
    <xf numFmtId="14" fontId="0" fillId="2" borderId="0" xfId="0" applyNumberFormat="1" applyFill="1"/>
    <xf numFmtId="165" fontId="0" fillId="3" borderId="0" xfId="1" applyNumberFormat="1" applyFont="1" applyFill="1"/>
    <xf numFmtId="9" fontId="0" fillId="0" borderId="0" xfId="2" applyFont="1"/>
    <xf numFmtId="4" fontId="0" fillId="0" borderId="0" xfId="0" applyNumberFormat="1"/>
    <xf numFmtId="0" fontId="7" fillId="0" borderId="0" xfId="0" applyFont="1"/>
    <xf numFmtId="4" fontId="7" fillId="0" borderId="0" xfId="0" applyNumberFormat="1" applyFont="1"/>
    <xf numFmtId="0" fontId="0" fillId="2" borderId="0" xfId="0" applyFill="1"/>
    <xf numFmtId="10" fontId="0" fillId="2" borderId="0" xfId="2" applyNumberFormat="1" applyFont="1" applyFill="1"/>
    <xf numFmtId="168" fontId="0" fillId="2" borderId="0" xfId="2" applyNumberFormat="1" applyFont="1" applyFill="1"/>
    <xf numFmtId="9" fontId="0" fillId="2" borderId="0" xfId="2" applyFont="1" applyFill="1"/>
    <xf numFmtId="4" fontId="0" fillId="2" borderId="0" xfId="0" applyNumberFormat="1" applyFill="1"/>
    <xf numFmtId="3" fontId="0" fillId="2" borderId="0" xfId="0" applyNumberFormat="1" applyFill="1"/>
    <xf numFmtId="4" fontId="0" fillId="0" borderId="0" xfId="0" applyNumberFormat="1" applyFill="1"/>
    <xf numFmtId="167" fontId="0" fillId="0" borderId="0" xfId="0" applyNumberFormat="1" applyFill="1"/>
    <xf numFmtId="2" fontId="0" fillId="0" borderId="0" xfId="0" applyNumberFormat="1"/>
    <xf numFmtId="0" fontId="3" fillId="0" borderId="0" xfId="0" applyFont="1"/>
    <xf numFmtId="169" fontId="0" fillId="2" borderId="0" xfId="0" applyNumberFormat="1" applyFill="1"/>
    <xf numFmtId="10" fontId="0" fillId="2" borderId="0" xfId="0" applyNumberFormat="1" applyFill="1"/>
    <xf numFmtId="10" fontId="0" fillId="0" borderId="0" xfId="2" applyNumberFormat="1" applyFont="1" applyFill="1"/>
    <xf numFmtId="166" fontId="0" fillId="2" borderId="0" xfId="1" applyNumberFormat="1" applyFont="1" applyFill="1"/>
    <xf numFmtId="4" fontId="2" fillId="0" borderId="0" xfId="0" applyNumberFormat="1" applyFont="1"/>
    <xf numFmtId="9" fontId="2" fillId="0" borderId="0" xfId="2" applyFont="1"/>
    <xf numFmtId="4" fontId="2" fillId="2" borderId="0" xfId="0" applyNumberFormat="1" applyFont="1" applyFill="1"/>
    <xf numFmtId="167" fontId="2" fillId="0" borderId="0" xfId="0" applyNumberFormat="1" applyFont="1" applyFill="1"/>
    <xf numFmtId="10" fontId="2" fillId="0" borderId="0" xfId="2" applyNumberFormat="1" applyFont="1" applyFill="1"/>
    <xf numFmtId="0" fontId="6" fillId="0" borderId="0" xfId="0" applyFont="1"/>
    <xf numFmtId="14" fontId="3" fillId="2" borderId="0" xfId="0" applyNumberFormat="1" applyFont="1" applyFill="1"/>
    <xf numFmtId="0" fontId="9" fillId="0" borderId="0" xfId="0" applyFont="1"/>
    <xf numFmtId="164" fontId="0" fillId="0" borderId="0" xfId="0" applyNumberFormat="1"/>
    <xf numFmtId="9" fontId="2" fillId="7" borderId="0" xfId="2" applyFont="1" applyFill="1"/>
    <xf numFmtId="3" fontId="0" fillId="4" borderId="0" xfId="0" applyNumberFormat="1" applyFill="1"/>
    <xf numFmtId="1" fontId="2" fillId="7" borderId="0" xfId="2" applyNumberFormat="1" applyFont="1" applyFill="1"/>
    <xf numFmtId="2" fontId="0" fillId="4" borderId="0" xfId="0" applyNumberFormat="1" applyFill="1"/>
    <xf numFmtId="0" fontId="0" fillId="3" borderId="0" xfId="0" applyFill="1"/>
    <xf numFmtId="4" fontId="0" fillId="8" borderId="0" xfId="0" applyNumberFormat="1" applyFill="1"/>
    <xf numFmtId="4" fontId="2" fillId="8" borderId="0" xfId="0" applyNumberFormat="1" applyFont="1" applyFill="1"/>
    <xf numFmtId="168" fontId="2" fillId="7" borderId="0" xfId="2" applyNumberFormat="1" applyFont="1" applyFill="1"/>
    <xf numFmtId="10" fontId="2" fillId="7" borderId="0" xfId="2" applyNumberFormat="1" applyFont="1" applyFill="1"/>
    <xf numFmtId="0" fontId="0" fillId="0" borderId="5" xfId="0" applyBorder="1"/>
    <xf numFmtId="4" fontId="0" fillId="0" borderId="5" xfId="0" applyNumberFormat="1" applyBorder="1"/>
    <xf numFmtId="9" fontId="0" fillId="0" borderId="5" xfId="2" applyFont="1" applyBorder="1"/>
    <xf numFmtId="9" fontId="10" fillId="0" borderId="6" xfId="0" applyNumberFormat="1" applyFont="1" applyBorder="1"/>
    <xf numFmtId="9" fontId="12" fillId="0" borderId="7" xfId="0" applyNumberFormat="1" applyFont="1" applyBorder="1"/>
    <xf numFmtId="9" fontId="12" fillId="0" borderId="8" xfId="0" applyNumberFormat="1" applyFont="1" applyBorder="1"/>
    <xf numFmtId="167" fontId="10" fillId="0" borderId="9" xfId="1" applyNumberFormat="1" applyFont="1" applyBorder="1"/>
    <xf numFmtId="167" fontId="12" fillId="0" borderId="10" xfId="1" applyNumberFormat="1" applyFont="1" applyBorder="1"/>
    <xf numFmtId="167" fontId="12" fillId="0" borderId="11" xfId="1" applyNumberFormat="1" applyFont="1" applyBorder="1"/>
    <xf numFmtId="14" fontId="0" fillId="3" borderId="0" xfId="0" applyNumberFormat="1" applyFill="1"/>
    <xf numFmtId="4" fontId="2" fillId="3" borderId="0" xfId="0" applyNumberFormat="1" applyFont="1" applyFill="1"/>
    <xf numFmtId="8" fontId="11" fillId="6" borderId="3" xfId="1" applyNumberFormat="1" applyFont="1" applyFill="1" applyBorder="1" applyAlignment="1">
      <alignment horizontal="center"/>
    </xf>
    <xf numFmtId="8" fontId="11" fillId="6" borderId="4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1" fillId="5" borderId="2" xfId="1" applyNumberFormat="1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dreas Fillgraff" id="{B42ADB1C-D2CD-4D9A-A287-CFADD47CF156}" userId="S::Andreas.Fillgraff@sparkassenversicherung.de::48c1a4d6-3e78-4fcb-ae0c-a8eed8522b0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7D35E-10F3-4F93-9F76-AC7086CDC1D8}">
  <dimension ref="A1:R55"/>
  <sheetViews>
    <sheetView tabSelected="1" workbookViewId="0">
      <pane xSplit="2" ySplit="12" topLeftCell="C16" activePane="bottomRight" state="frozen"/>
      <selection pane="topRight" activeCell="C1" sqref="C1"/>
      <selection pane="bottomLeft" activeCell="A13" sqref="A13"/>
      <selection pane="bottomRight" activeCell="I20" sqref="I20"/>
    </sheetView>
  </sheetViews>
  <sheetFormatPr baseColWidth="10" defaultRowHeight="15" outlineLevelRow="1" x14ac:dyDescent="0.25"/>
  <cols>
    <col min="1" max="1" width="29.5703125" customWidth="1"/>
    <col min="2" max="2" width="14.42578125" customWidth="1"/>
    <col min="3" max="3" width="13" bestFit="1" customWidth="1"/>
    <col min="4" max="4" width="12.7109375" customWidth="1"/>
    <col min="5" max="5" width="13.5703125" bestFit="1" customWidth="1"/>
    <col min="7" max="7" width="12.5703125" customWidth="1"/>
    <col min="8" max="8" width="13.85546875" customWidth="1"/>
    <col min="10" max="10" width="12.5703125" bestFit="1" customWidth="1"/>
    <col min="11" max="11" width="14.140625" bestFit="1" customWidth="1"/>
    <col min="12" max="12" width="12" bestFit="1" customWidth="1"/>
    <col min="14" max="14" width="15.42578125" customWidth="1"/>
    <col min="15" max="15" width="12" bestFit="1" customWidth="1"/>
    <col min="16" max="16" width="13" bestFit="1" customWidth="1"/>
    <col min="17" max="17" width="12" bestFit="1" customWidth="1"/>
    <col min="18" max="18" width="12.5703125" bestFit="1" customWidth="1"/>
  </cols>
  <sheetData>
    <row r="1" spans="1:13" ht="23.25" x14ac:dyDescent="0.35">
      <c r="A1" s="30" t="s">
        <v>55</v>
      </c>
      <c r="I1" t="s">
        <v>77</v>
      </c>
    </row>
    <row r="2" spans="1:13" x14ac:dyDescent="0.25">
      <c r="I2" s="9"/>
      <c r="J2" s="2" t="s">
        <v>74</v>
      </c>
    </row>
    <row r="3" spans="1:13" x14ac:dyDescent="0.25">
      <c r="A3" t="s">
        <v>1</v>
      </c>
      <c r="B3" s="9" t="s">
        <v>54</v>
      </c>
      <c r="D3" t="s">
        <v>37</v>
      </c>
      <c r="F3" s="22">
        <v>2700</v>
      </c>
      <c r="G3" s="1"/>
      <c r="I3" s="37"/>
      <c r="J3" t="s">
        <v>78</v>
      </c>
    </row>
    <row r="4" spans="1:13" x14ac:dyDescent="0.25">
      <c r="A4" t="s">
        <v>2</v>
      </c>
      <c r="B4" s="9" t="s">
        <v>2</v>
      </c>
      <c r="D4" t="s">
        <v>81</v>
      </c>
      <c r="F4" s="10">
        <v>0.01</v>
      </c>
      <c r="I4" s="34"/>
      <c r="J4" t="s">
        <v>75</v>
      </c>
    </row>
    <row r="5" spans="1:13" x14ac:dyDescent="0.25">
      <c r="A5" t="s">
        <v>79</v>
      </c>
      <c r="B5" s="3">
        <v>32975</v>
      </c>
      <c r="D5" t="s">
        <v>66</v>
      </c>
      <c r="F5" s="12">
        <v>0.8</v>
      </c>
      <c r="I5" s="36"/>
      <c r="J5" t="s">
        <v>76</v>
      </c>
    </row>
    <row r="6" spans="1:13" x14ac:dyDescent="0.25">
      <c r="A6" t="s">
        <v>57</v>
      </c>
      <c r="B6" s="9">
        <v>67</v>
      </c>
      <c r="D6" s="1" t="s">
        <v>0</v>
      </c>
      <c r="F6" s="4">
        <f>$F$3*(1+$F$4)^(($B$7-$B$8)/365.25)*$F$5</f>
        <v>3131.649923242664</v>
      </c>
    </row>
    <row r="7" spans="1:13" x14ac:dyDescent="0.25">
      <c r="A7" t="s">
        <v>58</v>
      </c>
      <c r="B7" s="50">
        <f>DATE(YEAR($B$5)+$B$6,MONTH($B$5)+1,1)</f>
        <v>57466</v>
      </c>
      <c r="D7" s="1" t="s">
        <v>80</v>
      </c>
      <c r="F7" s="4">
        <f>$G$54</f>
        <v>1536.0914717366031</v>
      </c>
    </row>
    <row r="8" spans="1:13" ht="15.75" thickBot="1" x14ac:dyDescent="0.3">
      <c r="A8" s="18" t="s">
        <v>7</v>
      </c>
      <c r="B8" s="29">
        <v>43831</v>
      </c>
      <c r="H8" s="2" t="s">
        <v>73</v>
      </c>
    </row>
    <row r="9" spans="1:13" ht="18.75" x14ac:dyDescent="0.3">
      <c r="A9" t="s">
        <v>15</v>
      </c>
      <c r="B9" s="11">
        <v>1.4999999999999999E-2</v>
      </c>
      <c r="E9" s="54" t="s">
        <v>56</v>
      </c>
      <c r="F9" s="55"/>
      <c r="H9" s="44">
        <v>0.06</v>
      </c>
      <c r="I9" s="45">
        <v>0.05</v>
      </c>
      <c r="J9" s="45">
        <v>0.04</v>
      </c>
      <c r="K9" s="45">
        <v>0.03</v>
      </c>
      <c r="L9" s="46">
        <v>0.02</v>
      </c>
    </row>
    <row r="10" spans="1:13" ht="19.5" thickBot="1" x14ac:dyDescent="0.35">
      <c r="E10" s="52">
        <f>MIN(F7-F6,0)</f>
        <v>-1595.5584515060609</v>
      </c>
      <c r="F10" s="53"/>
      <c r="H10" s="47">
        <f>IF($E$10&gt;=0,"Glückwunsch! Keine Rentenlücke vorhanden.",((-$E$10*(12*$N$43))/(((1+H$9)^(1/12)*((1+H$9)^(($B$7-$B$8)/365.25)-1)/((1+H$9)^(1/12)-1))*(1+(($N$43*H$9*(H$9+1)^$N$43/((H$9+1)^$N$43-1)-1)*(1-$L$43)))))/((1+$B$9)^(-($B$7-$B$8)/365.25)))</f>
        <v>332.66842313305727</v>
      </c>
      <c r="I10" s="48">
        <f>IF($E$10&gt;=0,"Glückwunsch! Keine Rentenlücke vorhanden.",((-$E$10*(12*$N$43))/(((1+I$9)^(1/12)*((1+I$9)^(($B$7-$B$8)/365.25)-1)/((1+I$9)^(1/12)-1))*(1+(($N$43*I$9*(I$9+1)^$N$43/((I$9+1)^$N$43-1)-1)*(1-$L$43)))))/((1+$B$9)^(-($B$7-$B$8)/365.25)))</f>
        <v>461.22731363333253</v>
      </c>
      <c r="J10" s="48">
        <f>IF($E$10&gt;=0,"Glückwunsch! Keine Rentenlücke vorhanden.",((-$E$10*(12*$N$43))/(((1+J$9)^(1/12)*((1+J$9)^(($B$7-$B$8)/365.25)-1)/((1+J$9)^(1/12)-1))*(1+(($N$43*J$9*(J$9+1)^$N$43/((J$9+1)^$N$43-1)-1)*(1-$L$43)))))/((1+$B$9)^(-($B$7-$B$8)/365.25)))</f>
        <v>637.91733572204146</v>
      </c>
      <c r="K10" s="48">
        <f>IF($E$10&gt;=0,"Glückwunsch! Keine Rentenlücke vorhanden.",((-$E$10*(12*$N$43))/(((1+K$9)^(1/12)*((1+K$9)^(($B$7-$B$8)/365.25)-1)/((1+K$9)^(1/12)-1))*(1+(($N$43*K$9*(K$9+1)^$N$43/((K$9+1)^$N$43-1)-1)*(1-$L$43)))))/((1+$B$9)^(-($B$7-$B$8)/365.25)))</f>
        <v>879.38083859500205</v>
      </c>
      <c r="L10" s="49">
        <f>IF($E$10&gt;=0,"Glückwunsch! Keine Rentenlücke vorhanden.",((-$E$10*(12*$N$43))/(((1+L$9)^(1/12)*((1+L$9)^(($B$7-$B$8)/365.25)-1)/((1+L$9)^(1/12)-1))*(1+(($N$43*L$9*(L$9+1)^$N$43/((L$9+1)^$N$43-1)-1)*(1-$L$43)))))/((1+$B$9)^(-($B$7-$B$8)/365.25)))</f>
        <v>1207.0590246066263</v>
      </c>
    </row>
    <row r="12" spans="1:13" x14ac:dyDescent="0.25">
      <c r="A12" s="28" t="str">
        <f>"Übersicht: "&amp;$B$4&amp;" "&amp;$B$3</f>
        <v>Übersicht: Vorname Name</v>
      </c>
      <c r="C12" s="2" t="s">
        <v>10</v>
      </c>
      <c r="D12" s="2" t="s">
        <v>11</v>
      </c>
      <c r="E12" s="2" t="s">
        <v>12</v>
      </c>
      <c r="F12" s="2" t="s">
        <v>14</v>
      </c>
      <c r="G12" s="2" t="s">
        <v>13</v>
      </c>
      <c r="H12" s="2"/>
    </row>
    <row r="13" spans="1:13" x14ac:dyDescent="0.25">
      <c r="A13" s="2"/>
      <c r="I13" t="s">
        <v>35</v>
      </c>
      <c r="J13" t="s">
        <v>36</v>
      </c>
    </row>
    <row r="14" spans="1:13" x14ac:dyDescent="0.25">
      <c r="A14" s="2" t="s">
        <v>53</v>
      </c>
      <c r="B14" t="s">
        <v>82</v>
      </c>
      <c r="C14" s="25">
        <v>2300</v>
      </c>
      <c r="D14" s="27">
        <f>(14.6%+$I14)/2+$J14</f>
        <v>0.109</v>
      </c>
      <c r="E14" s="32">
        <v>0.1</v>
      </c>
      <c r="F14" s="23">
        <f>C14*(1-D14)*(1-E14)</f>
        <v>1844.3700000000001</v>
      </c>
      <c r="G14" s="26">
        <f>$F14*(1+$B$9)^(-($B$7-$B$8)/365.25)</f>
        <v>1057.954138840955</v>
      </c>
      <c r="I14" s="39">
        <v>1.0999999999999999E-2</v>
      </c>
      <c r="J14" s="40">
        <v>3.0499999999999999E-2</v>
      </c>
    </row>
    <row r="15" spans="1:13" x14ac:dyDescent="0.25">
      <c r="C15" s="21"/>
      <c r="D15" s="21"/>
      <c r="E15" s="5"/>
      <c r="F15" s="6"/>
      <c r="G15" s="16"/>
    </row>
    <row r="16" spans="1:13" x14ac:dyDescent="0.25">
      <c r="A16" s="2" t="s">
        <v>52</v>
      </c>
      <c r="C16" s="51">
        <f>SUM(C17:C21)</f>
        <v>241.48275154004105</v>
      </c>
      <c r="D16" s="24"/>
      <c r="E16" s="24"/>
      <c r="F16" s="23">
        <f t="shared" ref="F16" si="0">SUM(F17:F21)</f>
        <v>217.33447638603695</v>
      </c>
      <c r="G16" s="23">
        <f t="shared" ref="G16" si="1">SUM(G17:G21)</f>
        <v>124.66582562362193</v>
      </c>
      <c r="I16" t="s">
        <v>60</v>
      </c>
      <c r="J16" t="s">
        <v>25</v>
      </c>
      <c r="K16" t="s">
        <v>27</v>
      </c>
      <c r="L16" t="s">
        <v>26</v>
      </c>
      <c r="M16" t="s">
        <v>28</v>
      </c>
    </row>
    <row r="17" spans="1:13" outlineLevel="1" x14ac:dyDescent="0.25">
      <c r="A17" t="s">
        <v>29</v>
      </c>
      <c r="B17" t="s">
        <v>31</v>
      </c>
      <c r="C17" s="37">
        <f>M17</f>
        <v>241.48275154004105</v>
      </c>
      <c r="D17" s="5">
        <v>0</v>
      </c>
      <c r="E17" s="5">
        <f>$E$14</f>
        <v>0.1</v>
      </c>
      <c r="F17" s="6">
        <f>C17*(1-D17)*(1-E17)</f>
        <v>217.33447638603695</v>
      </c>
      <c r="G17" s="16">
        <f>$F17*(1+$B$9)^(-($B$7-$B$8)/365.25)</f>
        <v>124.66582562362193</v>
      </c>
      <c r="H17" t="s">
        <v>59</v>
      </c>
      <c r="I17" s="14">
        <v>2100</v>
      </c>
      <c r="J17" s="14">
        <v>2100</v>
      </c>
      <c r="K17" s="34">
        <v>30</v>
      </c>
      <c r="L17" s="33">
        <f>$I17+$J17*(($B$7-$B$8)/365.25)</f>
        <v>80494.250513347026</v>
      </c>
      <c r="M17" s="35">
        <f>$L17*$K17/10000</f>
        <v>241.48275154004105</v>
      </c>
    </row>
    <row r="18" spans="1:13" outlineLevel="1" x14ac:dyDescent="0.25">
      <c r="A18" t="s">
        <v>30</v>
      </c>
      <c r="B18" t="s">
        <v>31</v>
      </c>
      <c r="C18" s="37">
        <f>M18</f>
        <v>0</v>
      </c>
      <c r="D18" s="5">
        <v>0</v>
      </c>
      <c r="E18" s="5">
        <f>$E$14</f>
        <v>0.1</v>
      </c>
      <c r="F18" s="6">
        <f>C18*(1-D18)*(1-E18)</f>
        <v>0</v>
      </c>
      <c r="G18" s="16">
        <f>$F18*(1+$B$9)^(-($B$7-$B$8)/365.25)</f>
        <v>0</v>
      </c>
      <c r="I18" s="14">
        <v>0</v>
      </c>
      <c r="J18" s="14">
        <v>0</v>
      </c>
      <c r="K18" s="34">
        <v>30</v>
      </c>
      <c r="L18" s="33">
        <f>$I18+$J18*(($B$7-$B$8)/365.25)</f>
        <v>0</v>
      </c>
      <c r="M18" s="35">
        <f>$L18*$K18/10000</f>
        <v>0</v>
      </c>
    </row>
    <row r="19" spans="1:13" outlineLevel="1" x14ac:dyDescent="0.25">
      <c r="A19" s="2" t="s">
        <v>38</v>
      </c>
      <c r="C19" s="5"/>
      <c r="D19" s="5"/>
      <c r="E19" s="5"/>
      <c r="F19" s="6"/>
      <c r="G19" s="16"/>
      <c r="I19" t="s">
        <v>71</v>
      </c>
      <c r="J19" t="s">
        <v>72</v>
      </c>
      <c r="K19" t="s">
        <v>27</v>
      </c>
      <c r="L19" t="s">
        <v>26</v>
      </c>
      <c r="M19" t="s">
        <v>28</v>
      </c>
    </row>
    <row r="20" spans="1:13" outlineLevel="1" x14ac:dyDescent="0.25">
      <c r="A20" t="s">
        <v>38</v>
      </c>
      <c r="B20" t="s">
        <v>31</v>
      </c>
      <c r="C20" s="37">
        <f>M20</f>
        <v>0</v>
      </c>
      <c r="D20" s="5">
        <v>0</v>
      </c>
      <c r="E20" s="5">
        <v>0</v>
      </c>
      <c r="F20" s="6">
        <f>C20*(1-D20)*(1-E20)</f>
        <v>0</v>
      </c>
      <c r="G20" s="16">
        <f>$F20*(1+$B$9)^(-($B$7-$B$8)/365.25)</f>
        <v>0</v>
      </c>
      <c r="I20" s="14">
        <v>0</v>
      </c>
      <c r="J20" s="32">
        <v>0.02</v>
      </c>
      <c r="K20" s="34">
        <v>30</v>
      </c>
      <c r="L20" s="33">
        <f>$I20*(1+$J20)^(($B$7-$B$8)/365.25)</f>
        <v>0</v>
      </c>
      <c r="M20" s="35">
        <f>$L20*$K20/10000</f>
        <v>0</v>
      </c>
    </row>
    <row r="21" spans="1:13" x14ac:dyDescent="0.25">
      <c r="C21" s="6"/>
      <c r="D21" s="5"/>
      <c r="E21" s="5"/>
      <c r="F21" s="6"/>
      <c r="G21" s="16"/>
      <c r="M21" s="17"/>
    </row>
    <row r="22" spans="1:13" x14ac:dyDescent="0.25">
      <c r="A22" s="2" t="s">
        <v>51</v>
      </c>
      <c r="C22" s="51">
        <f>SUM(C23:C26)</f>
        <v>147.04</v>
      </c>
      <c r="D22" s="24"/>
      <c r="E22" s="24"/>
      <c r="F22" s="23">
        <f t="shared" ref="F22:G22" si="2">SUM(F23:F26)</f>
        <v>132.33599999999998</v>
      </c>
      <c r="G22" s="23">
        <f t="shared" si="2"/>
        <v>75.909616247096082</v>
      </c>
      <c r="I22" t="s">
        <v>26</v>
      </c>
      <c r="J22" t="s">
        <v>27</v>
      </c>
      <c r="K22" t="s">
        <v>28</v>
      </c>
    </row>
    <row r="23" spans="1:13" outlineLevel="1" x14ac:dyDescent="0.25">
      <c r="A23" t="s">
        <v>39</v>
      </c>
      <c r="B23" t="s">
        <v>31</v>
      </c>
      <c r="C23" s="37">
        <v>0</v>
      </c>
      <c r="D23" s="21">
        <f>(MAX(SUM($C$23:$C$26)-159.25,0)*((14.6%+$I$14)+$J$14))/SUM($C$23:$C$26)</f>
        <v>0</v>
      </c>
      <c r="E23" s="5">
        <f>$E$14</f>
        <v>0.1</v>
      </c>
      <c r="F23" s="6">
        <f>C23*(1-D23)*(1-E23)</f>
        <v>0</v>
      </c>
      <c r="G23" s="16">
        <f>$F23*(1+$B$9)^(-($B$7-$B$8)/365.25)</f>
        <v>0</v>
      </c>
      <c r="H23" t="s">
        <v>59</v>
      </c>
      <c r="I23" s="14">
        <v>0</v>
      </c>
      <c r="J23" s="34">
        <v>30</v>
      </c>
      <c r="K23" s="33">
        <f>$I23*$J23/10000</f>
        <v>0</v>
      </c>
    </row>
    <row r="24" spans="1:13" outlineLevel="1" x14ac:dyDescent="0.25">
      <c r="A24" t="s">
        <v>40</v>
      </c>
      <c r="B24" t="s">
        <v>31</v>
      </c>
      <c r="C24" s="37">
        <v>147.04</v>
      </c>
      <c r="D24" s="21">
        <f>(MAX(SUM($C$23:$C$26)-159.25,0)*((14.6%+$I$14)+$J$14))/SUM($C$23:$C$26)</f>
        <v>0</v>
      </c>
      <c r="E24" s="5">
        <f>$E$14</f>
        <v>0.1</v>
      </c>
      <c r="F24" s="6">
        <f>C24*(1-D24)*(1-E24)</f>
        <v>132.33599999999998</v>
      </c>
      <c r="G24" s="16">
        <f>$F24*(1+$B$9)^(-($B$7-$B$8)/365.25)</f>
        <v>75.909616247096082</v>
      </c>
      <c r="I24" s="14">
        <v>0</v>
      </c>
      <c r="J24" s="34">
        <v>30</v>
      </c>
      <c r="K24" s="33">
        <f t="shared" ref="K24:K25" si="3">$I24*$J24/10000</f>
        <v>0</v>
      </c>
    </row>
    <row r="25" spans="1:13" outlineLevel="1" x14ac:dyDescent="0.25">
      <c r="A25" t="s">
        <v>41</v>
      </c>
      <c r="B25" t="s">
        <v>31</v>
      </c>
      <c r="C25" s="37">
        <v>0</v>
      </c>
      <c r="D25" s="21">
        <f>(MAX(SUM($C$23:$C$26)-159.25,0)*((14.6%+$I$14)+$J$14))/SUM($C$23:$C$26)</f>
        <v>0</v>
      </c>
      <c r="E25" s="5">
        <f>$E$14</f>
        <v>0.1</v>
      </c>
      <c r="F25" s="6">
        <f>C25*(1-D25)*(1-E25)</f>
        <v>0</v>
      </c>
      <c r="G25" s="16">
        <f>$F25*(1+$B$9)^(-($B$7-$B$8)/365.25)</f>
        <v>0</v>
      </c>
      <c r="I25" s="14">
        <v>0</v>
      </c>
      <c r="J25" s="34">
        <v>30</v>
      </c>
      <c r="K25" s="33">
        <f t="shared" si="3"/>
        <v>0</v>
      </c>
    </row>
    <row r="26" spans="1:13" x14ac:dyDescent="0.25">
      <c r="C26" s="6"/>
      <c r="D26" s="21"/>
      <c r="E26" s="5"/>
      <c r="F26" s="6"/>
      <c r="G26" s="16"/>
      <c r="I26" s="17"/>
      <c r="J26" s="17"/>
      <c r="K26" s="17"/>
    </row>
    <row r="27" spans="1:13" x14ac:dyDescent="0.25">
      <c r="A27" s="2" t="s">
        <v>50</v>
      </c>
      <c r="C27" s="51">
        <f>SUM(C28:C30)</f>
        <v>0</v>
      </c>
      <c r="D27" s="24"/>
      <c r="E27" s="24"/>
      <c r="F27" s="23">
        <f>SUM(F28:F30)</f>
        <v>0</v>
      </c>
      <c r="G27" s="23">
        <f>SUM(G28:G30)</f>
        <v>0</v>
      </c>
    </row>
    <row r="28" spans="1:13" outlineLevel="1" x14ac:dyDescent="0.25">
      <c r="A28" t="s">
        <v>42</v>
      </c>
      <c r="B28" t="s">
        <v>31</v>
      </c>
      <c r="C28" s="13">
        <v>0</v>
      </c>
      <c r="D28" s="5">
        <v>0</v>
      </c>
      <c r="E28" s="5">
        <f>$E$14</f>
        <v>0.1</v>
      </c>
      <c r="F28" s="6">
        <f>C28*(1-D28)*(1-E28)</f>
        <v>0</v>
      </c>
      <c r="G28" s="16">
        <f>$F28*(1+$B$9)^(-($B$7-$B$8)/365.25)</f>
        <v>0</v>
      </c>
    </row>
    <row r="29" spans="1:13" outlineLevel="1" x14ac:dyDescent="0.25">
      <c r="A29" t="s">
        <v>43</v>
      </c>
      <c r="B29" t="s">
        <v>31</v>
      </c>
      <c r="C29" s="13">
        <v>0</v>
      </c>
      <c r="D29" s="5">
        <v>0</v>
      </c>
      <c r="E29" s="5">
        <f>$E$14</f>
        <v>0.1</v>
      </c>
      <c r="F29" s="6">
        <f>C29*(1-D29)*(1-E29)</f>
        <v>0</v>
      </c>
      <c r="G29" s="16">
        <f>$F29*(1+$B$9)^(-($B$7-$B$8)/365.25)</f>
        <v>0</v>
      </c>
    </row>
    <row r="30" spans="1:13" x14ac:dyDescent="0.25">
      <c r="C30" s="6"/>
      <c r="D30" s="5"/>
      <c r="E30" s="5"/>
      <c r="F30" s="6"/>
      <c r="G30" s="16"/>
    </row>
    <row r="31" spans="1:13" x14ac:dyDescent="0.25">
      <c r="A31" s="2" t="s">
        <v>44</v>
      </c>
      <c r="C31" s="51">
        <f>SUM(C32:C34)</f>
        <v>0</v>
      </c>
      <c r="D31" s="24"/>
      <c r="E31" s="24"/>
      <c r="F31" s="23">
        <f>SUM(F32:F34)</f>
        <v>0</v>
      </c>
      <c r="G31" s="23">
        <f>SUM(G32:G34)</f>
        <v>0</v>
      </c>
      <c r="I31" t="s">
        <v>33</v>
      </c>
      <c r="J31" t="s">
        <v>32</v>
      </c>
      <c r="K31" t="s">
        <v>34</v>
      </c>
    </row>
    <row r="32" spans="1:13" outlineLevel="1" x14ac:dyDescent="0.25">
      <c r="A32" t="s">
        <v>45</v>
      </c>
      <c r="B32" t="s">
        <v>70</v>
      </c>
      <c r="C32" s="37">
        <v>0</v>
      </c>
      <c r="D32" s="5">
        <v>0</v>
      </c>
      <c r="E32" s="5">
        <f>$E$14</f>
        <v>0.1</v>
      </c>
      <c r="F32" s="6">
        <f>C32*(1-D32)*(1-E32)</f>
        <v>0</v>
      </c>
      <c r="G32" s="16">
        <f>$F32*(1+$B$9)^(-($B$7-$B$8)/365.25)</f>
        <v>0</v>
      </c>
      <c r="H32" t="s">
        <v>59</v>
      </c>
      <c r="I32" s="9">
        <v>300</v>
      </c>
      <c r="J32" s="20">
        <v>1.4999999999999999E-2</v>
      </c>
      <c r="K32" s="33">
        <f>$I32*(1+$J32)^(($B$7-$B$8)/365.25)</f>
        <v>523.00093140727404</v>
      </c>
    </row>
    <row r="33" spans="1:18" outlineLevel="1" x14ac:dyDescent="0.25">
      <c r="A33" t="s">
        <v>46</v>
      </c>
      <c r="B33" t="s">
        <v>70</v>
      </c>
      <c r="C33" s="37">
        <v>0</v>
      </c>
      <c r="D33" s="5">
        <v>1</v>
      </c>
      <c r="E33" s="5">
        <f>$E$14</f>
        <v>0.1</v>
      </c>
      <c r="F33" s="6">
        <f>C33*(1-D33)*(1-E33)</f>
        <v>0</v>
      </c>
      <c r="G33" s="16">
        <f>$F33*(1+$B$9)^(-($B$7-$B$8)/365.25)</f>
        <v>0</v>
      </c>
      <c r="I33" s="17"/>
      <c r="J33" s="17"/>
      <c r="K33" s="17"/>
    </row>
    <row r="34" spans="1:18" outlineLevel="1" x14ac:dyDescent="0.25">
      <c r="C34" s="5"/>
      <c r="D34" s="5"/>
      <c r="E34" s="5"/>
      <c r="F34" s="6"/>
      <c r="G34" s="16"/>
      <c r="I34" s="17"/>
      <c r="J34" s="17"/>
      <c r="K34" s="17"/>
    </row>
    <row r="35" spans="1:18" x14ac:dyDescent="0.25">
      <c r="C35" s="23"/>
      <c r="D35" s="24"/>
      <c r="E35" s="24"/>
      <c r="F35" s="23"/>
      <c r="G35" s="23"/>
      <c r="I35" t="s">
        <v>33</v>
      </c>
      <c r="J35" t="s">
        <v>32</v>
      </c>
      <c r="K35" t="s">
        <v>34</v>
      </c>
    </row>
    <row r="36" spans="1:18" x14ac:dyDescent="0.25">
      <c r="A36" s="2" t="s">
        <v>8</v>
      </c>
      <c r="B36" t="s">
        <v>24</v>
      </c>
      <c r="C36" s="38">
        <f>K36</f>
        <v>0</v>
      </c>
      <c r="D36" s="24">
        <v>0</v>
      </c>
      <c r="E36" s="24">
        <v>0</v>
      </c>
      <c r="F36" s="23">
        <f>C36*(1-D36)*(1-E36)</f>
        <v>0</v>
      </c>
      <c r="G36" s="26">
        <f>$F36*(1+$B$9)^(-($B$7-$B$8)/365.25)</f>
        <v>0</v>
      </c>
      <c r="I36" s="9">
        <v>0</v>
      </c>
      <c r="J36" s="20">
        <v>0.01</v>
      </c>
      <c r="K36" s="33">
        <f>$I36*(1+$J36)^(($B$7-$B$8)/365.25)</f>
        <v>0</v>
      </c>
    </row>
    <row r="37" spans="1:18" x14ac:dyDescent="0.25">
      <c r="C37" s="6"/>
      <c r="D37" s="5"/>
      <c r="E37" s="5"/>
      <c r="F37" s="6"/>
      <c r="G37" s="16"/>
      <c r="K37" s="17"/>
    </row>
    <row r="38" spans="1:18" x14ac:dyDescent="0.25">
      <c r="A38" s="2" t="s">
        <v>49</v>
      </c>
      <c r="C38" s="51">
        <f>SUM(C39:C41)</f>
        <v>0</v>
      </c>
      <c r="D38" s="24"/>
      <c r="E38" s="24"/>
      <c r="F38" s="23">
        <f>SUM(F39:F41)</f>
        <v>0</v>
      </c>
      <c r="G38" s="23">
        <f>SUM(G39:G41)</f>
        <v>0</v>
      </c>
      <c r="K38" s="17"/>
    </row>
    <row r="39" spans="1:18" outlineLevel="1" x14ac:dyDescent="0.25">
      <c r="A39" t="s">
        <v>47</v>
      </c>
      <c r="B39" t="s">
        <v>31</v>
      </c>
      <c r="C39" s="13">
        <v>0</v>
      </c>
      <c r="D39" s="5">
        <v>0</v>
      </c>
      <c r="E39" s="5">
        <f>IF($B$6&lt;62,22%,IF($B$6=62,21%,IF($B$6=63,20%,IF($B$6=64,20%,IF($B$6=64,19%,IF($B$6=65,18%,IF($B$6=66,18%,IF($B$6=67,17%,IF($B$6=68,16%,15%)))))))))</f>
        <v>0.17</v>
      </c>
      <c r="F39" s="6">
        <f>C39*(1-D39)*(1-E39)</f>
        <v>0</v>
      </c>
      <c r="G39" s="16">
        <f>$F39*(1+$B$9)^(-($B$7-$B$8)/365.25)</f>
        <v>0</v>
      </c>
    </row>
    <row r="40" spans="1:18" outlineLevel="1" x14ac:dyDescent="0.25">
      <c r="A40" t="s">
        <v>48</v>
      </c>
      <c r="B40" t="s">
        <v>31</v>
      </c>
      <c r="C40" s="13">
        <v>0</v>
      </c>
      <c r="D40" s="5">
        <v>0</v>
      </c>
      <c r="E40" s="5">
        <f>IF($B$6&lt;62,22%,IF($B$6=62,21%,IF($B$6=63,20%,IF($B$6=64,20%,IF($B$6=64,19%,IF($B$6=65,18%,IF($B$6=66,18%,IF($B$6=67,17%,IF($B$6=68,16%,15%)))))))))</f>
        <v>0.17</v>
      </c>
      <c r="F40" s="6">
        <f>C40*(1-D40)*(1-E40)</f>
        <v>0</v>
      </c>
      <c r="G40" s="16">
        <f>$F40*(1+$B$9)^(-($B$7-$B$8)/365.25)</f>
        <v>0</v>
      </c>
    </row>
    <row r="41" spans="1:18" x14ac:dyDescent="0.25">
      <c r="C41" s="5"/>
      <c r="D41" s="5"/>
      <c r="E41" s="5"/>
      <c r="F41" s="6"/>
      <c r="G41" s="16"/>
    </row>
    <row r="42" spans="1:18" x14ac:dyDescent="0.25">
      <c r="A42" s="2" t="s">
        <v>9</v>
      </c>
      <c r="C42" s="51">
        <f>SUM(C43:C48)</f>
        <v>483.88375843067598</v>
      </c>
      <c r="D42" s="24"/>
      <c r="E42" s="24"/>
      <c r="F42" s="23">
        <f>SUM(F43:F48)</f>
        <v>483.88375843067598</v>
      </c>
      <c r="G42" s="23">
        <f>SUM(G43:G48)</f>
        <v>277.56189102493016</v>
      </c>
      <c r="I42" t="s">
        <v>6</v>
      </c>
      <c r="J42" t="s">
        <v>16</v>
      </c>
      <c r="K42" t="s">
        <v>17</v>
      </c>
      <c r="L42" t="s">
        <v>61</v>
      </c>
      <c r="M42" t="s">
        <v>18</v>
      </c>
      <c r="N42" t="s">
        <v>62</v>
      </c>
      <c r="O42" t="s">
        <v>63</v>
      </c>
      <c r="P42" t="s">
        <v>69</v>
      </c>
      <c r="Q42" t="s">
        <v>65</v>
      </c>
    </row>
    <row r="43" spans="1:18" outlineLevel="1" x14ac:dyDescent="0.25">
      <c r="A43" t="s">
        <v>19</v>
      </c>
      <c r="B43" t="s">
        <v>3</v>
      </c>
      <c r="C43" s="37">
        <f>($O43+$Q43-MAX(($Q43-$N43*$M43)*$L43,0))/(12*$N43)</f>
        <v>483.88375843067598</v>
      </c>
      <c r="D43" s="5">
        <v>0</v>
      </c>
      <c r="E43" s="5">
        <v>0</v>
      </c>
      <c r="F43" s="15">
        <f>C43*(1-D43)*(1-E43)</f>
        <v>483.88375843067598</v>
      </c>
      <c r="G43" s="16">
        <f>$F43*(1+$B$9)^(-($B$7-$B$8)/365.25)</f>
        <v>277.56189102493016</v>
      </c>
      <c r="I43" s="3">
        <v>43221</v>
      </c>
      <c r="J43" s="9">
        <v>50</v>
      </c>
      <c r="K43" s="11">
        <v>0.06</v>
      </c>
      <c r="L43" s="19">
        <f>25%*1.055</f>
        <v>0.26374999999999998</v>
      </c>
      <c r="M43" s="9">
        <v>801</v>
      </c>
      <c r="N43" s="9">
        <v>30</v>
      </c>
      <c r="O43" s="33">
        <f>$J43*(1+$K43)^(1/12)*((1+$K43)^(($B$7-$I43)/365.25)-1)/((1+$K43)^(1/12)-1)</f>
        <v>89842.52992046882</v>
      </c>
      <c r="P43" s="33">
        <f>$O43*((1+$K43)^$N43*$K43)/(((1+$K43)^$N43-1)*(12+$K43/2*(12+1)))</f>
        <v>526.79273641921361</v>
      </c>
      <c r="Q43" s="33">
        <f>$O43*($N43*$K43*($K43+1)^$N43/(($K43+1)^$N43-1)-1)</f>
        <v>105966.33020655286</v>
      </c>
      <c r="R43" s="31"/>
    </row>
    <row r="44" spans="1:18" outlineLevel="1" x14ac:dyDescent="0.25">
      <c r="A44" t="s">
        <v>20</v>
      </c>
      <c r="B44" t="s">
        <v>3</v>
      </c>
      <c r="C44" s="37">
        <f t="shared" ref="C44:C47" si="4">($O44+$Q44-MAX(($Q44-$N44*$M44)*$L44,0))/(12*$N44)</f>
        <v>0</v>
      </c>
      <c r="D44" s="5">
        <v>0</v>
      </c>
      <c r="E44" s="5">
        <v>0</v>
      </c>
      <c r="F44" s="15">
        <f>C44*(1-D44)*(1-E44)</f>
        <v>0</v>
      </c>
      <c r="G44" s="16">
        <f>$F44*(1+$B$9)^(-($B$7-$B$8)/365.25)</f>
        <v>0</v>
      </c>
      <c r="I44" s="3">
        <v>43831</v>
      </c>
      <c r="J44" s="9">
        <v>0</v>
      </c>
      <c r="K44" s="11">
        <v>0.06</v>
      </c>
      <c r="L44" s="19">
        <f>25%*1.055</f>
        <v>0.26374999999999998</v>
      </c>
      <c r="M44" s="9">
        <v>0</v>
      </c>
      <c r="N44" s="9">
        <v>30</v>
      </c>
      <c r="O44" s="33">
        <f t="shared" ref="O44:O47" si="5">$J44*(1+$K44)^(1/12)*((1+$K44)^(($B$7-$I44)/365.25)-1)/((1+$K44)^(1/12)-1)</f>
        <v>0</v>
      </c>
      <c r="P44" s="33">
        <f t="shared" ref="P44:P47" si="6">$O44*((1+$K44)^$N44*$K44)/(((1+$K44)^$N44-1)*(12+$K44/2*(12+1)))</f>
        <v>0</v>
      </c>
      <c r="Q44" s="33">
        <f t="shared" ref="Q44:Q47" si="7">$O44*($N44*$K44*($K44+1)^$N44/(($K44+1)^$N44-1)-1)</f>
        <v>0</v>
      </c>
    </row>
    <row r="45" spans="1:18" outlineLevel="1" x14ac:dyDescent="0.25">
      <c r="A45" t="s">
        <v>21</v>
      </c>
      <c r="B45" t="s">
        <v>3</v>
      </c>
      <c r="C45" s="37">
        <f t="shared" si="4"/>
        <v>0</v>
      </c>
      <c r="D45" s="5">
        <v>0</v>
      </c>
      <c r="E45" s="5">
        <v>0</v>
      </c>
      <c r="F45" s="15">
        <f>C45*(1-D45)*(1-E45)</f>
        <v>0</v>
      </c>
      <c r="G45" s="16">
        <f>$F45*(1+$B$9)^(-($B$7-$B$8)/365.25)</f>
        <v>0</v>
      </c>
      <c r="I45" s="3">
        <v>43831</v>
      </c>
      <c r="J45" s="9">
        <v>0</v>
      </c>
      <c r="K45" s="11">
        <v>0.04</v>
      </c>
      <c r="L45" s="19">
        <f t="shared" ref="L45:L47" si="8">25%*1.055</f>
        <v>0.26374999999999998</v>
      </c>
      <c r="M45" s="9">
        <v>0</v>
      </c>
      <c r="N45" s="9">
        <v>30</v>
      </c>
      <c r="O45" s="33">
        <f t="shared" si="5"/>
        <v>0</v>
      </c>
      <c r="P45" s="33">
        <f t="shared" si="6"/>
        <v>0</v>
      </c>
      <c r="Q45" s="33">
        <f t="shared" si="7"/>
        <v>0</v>
      </c>
    </row>
    <row r="46" spans="1:18" outlineLevel="1" x14ac:dyDescent="0.25">
      <c r="A46" t="s">
        <v>22</v>
      </c>
      <c r="B46" t="s">
        <v>3</v>
      </c>
      <c r="C46" s="37">
        <f t="shared" si="4"/>
        <v>0</v>
      </c>
      <c r="D46" s="5">
        <v>0</v>
      </c>
      <c r="E46" s="5">
        <v>0</v>
      </c>
      <c r="F46" s="15">
        <f>C46*(1-D46)*(1-E46)</f>
        <v>0</v>
      </c>
      <c r="G46" s="16">
        <f>$F46*(1+$B$9)^(-($B$7-$B$8)/365.25)</f>
        <v>0</v>
      </c>
      <c r="I46" s="3">
        <v>43831</v>
      </c>
      <c r="J46" s="9">
        <v>0</v>
      </c>
      <c r="K46" s="11">
        <v>0.02</v>
      </c>
      <c r="L46" s="19">
        <f t="shared" si="8"/>
        <v>0.26374999999999998</v>
      </c>
      <c r="M46" s="9">
        <v>0</v>
      </c>
      <c r="N46" s="9">
        <v>30</v>
      </c>
      <c r="O46" s="33">
        <f t="shared" si="5"/>
        <v>0</v>
      </c>
      <c r="P46" s="33">
        <f t="shared" si="6"/>
        <v>0</v>
      </c>
      <c r="Q46" s="33">
        <f t="shared" si="7"/>
        <v>0</v>
      </c>
    </row>
    <row r="47" spans="1:18" outlineLevel="1" x14ac:dyDescent="0.25">
      <c r="A47" t="s">
        <v>23</v>
      </c>
      <c r="B47" t="s">
        <v>3</v>
      </c>
      <c r="C47" s="37">
        <f t="shared" si="4"/>
        <v>0</v>
      </c>
      <c r="D47" s="5">
        <v>0</v>
      </c>
      <c r="E47" s="5">
        <v>0</v>
      </c>
      <c r="F47" s="15">
        <f>C47*(1-D47)*(1-E47)</f>
        <v>0</v>
      </c>
      <c r="G47" s="16">
        <f>$F47*(1+$B$9)^(-($B$7-$B$8)/365.25)</f>
        <v>0</v>
      </c>
      <c r="I47" s="3">
        <v>43831</v>
      </c>
      <c r="J47" s="9">
        <v>0</v>
      </c>
      <c r="K47" s="11">
        <v>0.06</v>
      </c>
      <c r="L47" s="19">
        <f t="shared" si="8"/>
        <v>0.26374999999999998</v>
      </c>
      <c r="M47" s="9">
        <v>0</v>
      </c>
      <c r="N47" s="9">
        <v>30</v>
      </c>
      <c r="O47" s="33">
        <f t="shared" si="5"/>
        <v>0</v>
      </c>
      <c r="P47" s="33">
        <f t="shared" si="6"/>
        <v>0</v>
      </c>
      <c r="Q47" s="33">
        <f t="shared" si="7"/>
        <v>0</v>
      </c>
    </row>
    <row r="48" spans="1:18" x14ac:dyDescent="0.25">
      <c r="C48" s="6"/>
      <c r="D48" s="6"/>
      <c r="E48" s="5"/>
      <c r="F48" s="5"/>
    </row>
    <row r="49" spans="1:17" x14ac:dyDescent="0.25">
      <c r="A49" s="2" t="s">
        <v>67</v>
      </c>
      <c r="C49" s="51">
        <f>SUM(C50:C52)</f>
        <v>0</v>
      </c>
      <c r="D49" s="24"/>
      <c r="E49" s="24"/>
      <c r="F49" s="23">
        <f>SUM(F50:F52)</f>
        <v>0</v>
      </c>
      <c r="G49" s="23">
        <f>SUM(G50:G52)</f>
        <v>0</v>
      </c>
      <c r="I49" t="s">
        <v>6</v>
      </c>
      <c r="J49" t="s">
        <v>68</v>
      </c>
      <c r="K49" t="s">
        <v>17</v>
      </c>
      <c r="L49" t="s">
        <v>61</v>
      </c>
      <c r="M49" t="s">
        <v>18</v>
      </c>
      <c r="N49" t="s">
        <v>62</v>
      </c>
      <c r="O49" t="s">
        <v>63</v>
      </c>
      <c r="P49" t="s">
        <v>64</v>
      </c>
      <c r="Q49" t="s">
        <v>65</v>
      </c>
    </row>
    <row r="50" spans="1:17" outlineLevel="1" x14ac:dyDescent="0.25">
      <c r="A50" t="s">
        <v>67</v>
      </c>
      <c r="B50" t="s">
        <v>3</v>
      </c>
      <c r="C50" s="37">
        <f t="shared" ref="C50:C52" si="9">($O50+$Q50-MAX(($Q50-$N50*$M50)*$L50,0))/(12*$N50)</f>
        <v>0</v>
      </c>
      <c r="D50" s="5">
        <v>0</v>
      </c>
      <c r="E50" s="5">
        <v>0</v>
      </c>
      <c r="F50" s="15">
        <f>C50*(1-D50)*(1-E50)</f>
        <v>0</v>
      </c>
      <c r="G50" s="16">
        <f>$F50*(1+$B$9)^(-($B$7-$B$8)/365.25)</f>
        <v>0</v>
      </c>
      <c r="I50" s="3">
        <v>43101</v>
      </c>
      <c r="J50" s="14">
        <v>0</v>
      </c>
      <c r="K50" s="11">
        <v>0.06</v>
      </c>
      <c r="L50" s="19">
        <f>25%*1.055</f>
        <v>0.26374999999999998</v>
      </c>
      <c r="M50" s="9">
        <v>0</v>
      </c>
      <c r="N50" s="9">
        <v>30</v>
      </c>
      <c r="O50" s="33">
        <f>$J50*(1+$K50)^(($B$7-$I50)/365.25)</f>
        <v>0</v>
      </c>
      <c r="P50" s="33">
        <f>$O50*((1+$K50)^$N50*$K50)/(((1+$K50)^$N50-1)*(12+$K50/2*(12+1)))</f>
        <v>0</v>
      </c>
      <c r="Q50" s="33">
        <f>$O50*($N50*$K50*($K50+1)^$N50/(($K50+1)^$N50-1)-1)</f>
        <v>0</v>
      </c>
    </row>
    <row r="51" spans="1:17" outlineLevel="1" x14ac:dyDescent="0.25">
      <c r="A51" t="s">
        <v>67</v>
      </c>
      <c r="B51" t="s">
        <v>3</v>
      </c>
      <c r="C51" s="37">
        <f t="shared" si="9"/>
        <v>0</v>
      </c>
      <c r="D51" s="5">
        <v>0</v>
      </c>
      <c r="E51" s="5">
        <v>0</v>
      </c>
      <c r="F51" s="15">
        <f>C51*(1-D51)*(1-E51)</f>
        <v>0</v>
      </c>
      <c r="G51" s="16">
        <f>$F51*(1+$B$9)^(-($B$7-$B$8)/365.25)</f>
        <v>0</v>
      </c>
      <c r="I51" s="3">
        <v>43101</v>
      </c>
      <c r="J51" s="14">
        <v>0</v>
      </c>
      <c r="K51" s="11">
        <v>0.06</v>
      </c>
      <c r="L51" s="19">
        <f t="shared" ref="L51:L52" si="10">25%*1.055</f>
        <v>0.26374999999999998</v>
      </c>
      <c r="M51" s="9">
        <v>0</v>
      </c>
      <c r="N51" s="9">
        <v>30</v>
      </c>
      <c r="O51" s="33">
        <f t="shared" ref="O51:O52" si="11">$J51*(1+$K51)^(($B$7-$I51)/365.25)</f>
        <v>0</v>
      </c>
      <c r="P51" s="33">
        <f t="shared" ref="P51:P52" si="12">$O51*((1+$K51)^$N51*$K51)/(((1+$K51)^$N51-1)*(12+$K51/2*(12+1)))</f>
        <v>0</v>
      </c>
      <c r="Q51" s="33">
        <f t="shared" ref="Q51:Q52" si="13">$O51*($N51*$K51*($K51+1)^$N51/(($K51+1)^$N51-1)-1)</f>
        <v>0</v>
      </c>
    </row>
    <row r="52" spans="1:17" outlineLevel="1" x14ac:dyDescent="0.25">
      <c r="A52" t="s">
        <v>67</v>
      </c>
      <c r="B52" t="s">
        <v>3</v>
      </c>
      <c r="C52" s="37">
        <f t="shared" si="9"/>
        <v>0</v>
      </c>
      <c r="D52" s="5">
        <v>0</v>
      </c>
      <c r="E52" s="5">
        <v>0</v>
      </c>
      <c r="F52" s="15">
        <f>C52*(1-D52)*(1-E52)</f>
        <v>0</v>
      </c>
      <c r="G52" s="16">
        <f>$F52*(1+$B$9)^(-($B$7-$B$8)/365.25)</f>
        <v>0</v>
      </c>
      <c r="I52" s="3">
        <v>43101</v>
      </c>
      <c r="J52" s="14">
        <v>0</v>
      </c>
      <c r="K52" s="11">
        <v>0.06</v>
      </c>
      <c r="L52" s="19">
        <f t="shared" si="10"/>
        <v>0.26374999999999998</v>
      </c>
      <c r="M52" s="9">
        <v>0</v>
      </c>
      <c r="N52" s="9">
        <v>30</v>
      </c>
      <c r="O52" s="33">
        <f t="shared" si="11"/>
        <v>0</v>
      </c>
      <c r="P52" s="33">
        <f t="shared" si="12"/>
        <v>0</v>
      </c>
      <c r="Q52" s="33">
        <f t="shared" si="13"/>
        <v>0</v>
      </c>
    </row>
    <row r="53" spans="1:17" ht="15.75" thickBot="1" x14ac:dyDescent="0.3">
      <c r="A53" s="41"/>
      <c r="B53" s="41"/>
      <c r="C53" s="42"/>
      <c r="D53" s="42"/>
      <c r="E53" s="43"/>
      <c r="F53" s="43"/>
      <c r="G53" s="41"/>
    </row>
    <row r="54" spans="1:17" ht="15.75" thickTop="1" x14ac:dyDescent="0.25">
      <c r="A54" s="2" t="s">
        <v>4</v>
      </c>
      <c r="B54" s="2"/>
      <c r="C54" s="51">
        <f>C14+C16+C22+C27+C31+C36+C38+C42</f>
        <v>3172.4065099707173</v>
      </c>
      <c r="D54" s="23"/>
      <c r="E54" s="23"/>
      <c r="F54" s="51">
        <f>F14+F16+F22+F27+F31+F36+F38+F42+F49</f>
        <v>2677.9242348167131</v>
      </c>
      <c r="G54" s="51">
        <f>G14+G16+G22+G27+G31+G36+G38+G42+G49</f>
        <v>1536.0914717366031</v>
      </c>
    </row>
    <row r="55" spans="1:17" x14ac:dyDescent="0.25">
      <c r="C55" s="8"/>
      <c r="F55" s="7" t="s">
        <v>5</v>
      </c>
      <c r="G55" s="8">
        <f>$F54*(1+$B$9)^(-($B$7-$B$8)/365.25)-G54</f>
        <v>0</v>
      </c>
    </row>
  </sheetData>
  <mergeCells count="2">
    <mergeCell ref="E10:F10"/>
    <mergeCell ref="E9:F9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Erfassungsbogen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Admin</cp:lastModifiedBy>
  <dcterms:created xsi:type="dcterms:W3CDTF">2016-07-13T18:59:47Z</dcterms:created>
  <dcterms:modified xsi:type="dcterms:W3CDTF">2020-03-14T06:30:16Z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